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0" hidden="1">'укр'!$A$5:$E$97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7A2D2F3B_26CD_48A2_8B6D_B3D753A79F96_.wvu.FilterData" localSheetId="0" hidden="1">'укр'!$A$5:$E$97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542A732_7BAE_4D86_8B0C_6CBC664DFB2D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21BB4AE_7FB6_49BB_85BC_1600F65A62D2_.wvu.FilterData" localSheetId="0" hidden="1">'укр'!$A$5:$E$97</definedName>
    <definedName name="Z_A23B07BB_1FEC_4306_A46F_8F9A4FE193BD_.wvu.FilterData" localSheetId="0" hidden="1">'укр'!$A$5:$E$97</definedName>
    <definedName name="Z_AAAA0F5F_2E9C_413A_BD72_AFD2ADFCEDB4_.wvu.FilterData" localSheetId="0" hidden="1">'укр'!$A$5:$E$97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5DCA8C4_90CB_47E9_ACBC_F1CF8FAB4C6F_.wvu.FilterData" localSheetId="1" hidden="1">'рус'!$A$3:$J$90</definedName>
    <definedName name="Z_B5DCA8C4_90CB_47E9_ACBC_F1CF8FAB4C6F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 refMode="R1C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<sst xmlns="http://schemas.openxmlformats.org/spreadsheetml/2006/main" count="182" uniqueCount="73">
  <si>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</si>
  <si>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</si>
  <si>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</si>
  <si>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</si>
  <si>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</si>
  <si>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</si>
  <si>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</si>
  <si>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</si>
  <si>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</si>
  <si>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</si>
  <si>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</si>
  <si>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</si>
  <si>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</si>
  <si>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</si>
  <si>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</si>
  <si>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</si>
  <si>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</si>
  <si>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</si>
  <si>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</si>
  <si>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</si>
  <si>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</si>
  <si>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</si>
  <si>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</si>
  <si>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</si>
  <si>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</si>
  <si>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</si>
  <si>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</si>
  <si>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</si>
  <si>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</si>
  <si>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</si>
  <si>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</si>
  <si>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</si>
  <si>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</si>
  <si>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</si>
  <si>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</si>
  <si>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</si>
  <si>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</si>
  <si>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</si>
  <si>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</si>
  <si>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</si>
  <si>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</si>
  <si>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</si>
  <si>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</si>
  <si>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</si>
  <si>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</si>
  <si>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</si>
  <si>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</si>
  <si>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</si>
  <si>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</si>
  <si>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</si>
  <si>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</si>
  <si>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</si>
  <si>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</si>
  <si>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</si>
  <si>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</si>
  <si>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</si>
  <si>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</si>
  <si>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</si>
  <si>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</si>
  <si>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</si>
  <si>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</si>
  <si>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</si>
  <si>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</si>
  <si>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</si>
  <si>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</si>
  <si>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</si>
  <si>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</si>
  <si>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</si>
  <si>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</si>
  <si>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січень-листопад, з урахуванням змін тис. грн.</t>
  </si>
  <si>
    <t xml:space="preserve">План на январь-ноябрь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</si>
  <si>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10 листопада,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</si>
  <si>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10 ноября,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</si>
</sst>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80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right" wrapText="1"/>
    </xf>
    <xf numFmtId="181" fontId="3" fillId="0" borderId="10" xfId="0" applyNumberFormat="1" applyFont="1" applyFill="1" applyBorder="1" applyAlignment="1">
      <alignment horizontal="right" wrapText="1"/>
    </xf>
    <xf numFmtId="181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80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80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80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80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80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80" fontId="2" fillId="0" borderId="0" xfId="0" applyNumberFormat="1" applyFont="1" applyFill="1" applyAlignment="1">
      <alignment wrapText="1"/>
    </xf>
    <xf numFmtId="180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wrapText="1"/>
    </xf>
    <xf numFmtId="180" fontId="23" fillId="0" borderId="0" xfId="0" applyNumberFormat="1" applyFont="1" applyFill="1" applyAlignment="1">
      <alignment wrapText="1"/>
    </xf>
    <xf numFmtId="180" fontId="23" fillId="0" borderId="0" xfId="0" applyNumberFormat="1" applyFont="1" applyFill="1" applyAlignment="1">
      <alignment wrapText="1"/>
    </xf>
    <xf numFmtId="181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80" fontId="18" fillId="0" borderId="10" xfId="0" applyNumberFormat="1" applyFont="1" applyFill="1" applyBorder="1" applyAlignment="1">
      <alignment horizontal="right" wrapText="1"/>
    </xf>
    <xf numFmtId="180" fontId="13" fillId="0" borderId="10" xfId="0" applyNumberFormat="1" applyFont="1" applyFill="1" applyBorder="1" applyAlignment="1">
      <alignment horizontal="right" wrapText="1"/>
    </xf>
    <xf numFmtId="180" fontId="19" fillId="0" borderId="10" xfId="0" applyNumberFormat="1" applyFont="1" applyFill="1" applyBorder="1" applyAlignment="1">
      <alignment horizontal="right" wrapText="1"/>
    </xf>
    <xf numFmtId="180" fontId="9" fillId="0" borderId="10" xfId="0" applyNumberFormat="1" applyFont="1" applyFill="1" applyBorder="1" applyAlignment="1">
      <alignment horizontal="right" wrapText="1"/>
    </xf>
    <xf numFmtId="180" fontId="20" fillId="0" borderId="10" xfId="0" applyNumberFormat="1" applyFont="1" applyFill="1" applyBorder="1" applyAlignment="1">
      <alignment horizontal="right" vertical="center" wrapText="1"/>
    </xf>
    <xf numFmtId="181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81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8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8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80" fontId="19" fillId="0" borderId="0" xfId="0" applyNumberFormat="1" applyFont="1" applyFill="1" applyBorder="1" applyAlignment="1">
      <alignment horizontal="right" wrapText="1"/>
    </xf>
    <xf numFmtId="180" fontId="2" fillId="0" borderId="0" xfId="0" applyNumberFormat="1" applyFont="1" applyFill="1" applyBorder="1" applyAlignment="1">
      <alignment horizontal="right" wrapText="1"/>
    </xf>
    <xf numFmtId="180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80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80" fontId="7" fillId="33" borderId="10" xfId="0" applyNumberFormat="1" applyFont="1" applyFill="1" applyBorder="1" applyAlignment="1">
      <alignment horizontal="right" wrapText="1"/>
    </xf>
    <xf numFmtId="180" fontId="18" fillId="33" borderId="10" xfId="0" applyNumberFormat="1" applyFont="1" applyFill="1" applyBorder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110" zoomScaleNormal="110" zoomScalePageLayoutView="0" workbookViewId="0" topLeftCell="A61">
      <selection activeCell="C79" sqref="C79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3" t="s">
        <v>67</v>
      </c>
      <c r="B1" s="83"/>
      <c r="C1" s="83"/>
      <c r="D1" s="83"/>
      <c r="E1" s="83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4"/>
      <c r="B3" s="85" t="s">
        <v>33</v>
      </c>
      <c r="C3" s="85" t="s">
        <v>69</v>
      </c>
      <c r="D3" s="87" t="s">
        <v>71</v>
      </c>
      <c r="E3" s="84" t="s">
        <v>15</v>
      </c>
    </row>
    <row r="4" spans="1:5" s="1" customFormat="1" ht="51.75" customHeight="1">
      <c r="A4" s="84"/>
      <c r="B4" s="86"/>
      <c r="C4" s="86"/>
      <c r="D4" s="87"/>
      <c r="E4" s="84"/>
    </row>
    <row r="5" spans="1:5" s="2" customFormat="1" ht="16.5" customHeight="1">
      <c r="A5" s="10" t="s">
        <v>3</v>
      </c>
      <c r="B5" s="11">
        <f>B6+B13</f>
        <v>1126203.684</v>
      </c>
      <c r="C5" s="11">
        <f>C6+C13</f>
        <v>1030756.415</v>
      </c>
      <c r="D5" s="11">
        <f>D6+D13</f>
        <v>906629.8389999999</v>
      </c>
      <c r="E5" s="12">
        <f>SUM(D5)/C5*100</f>
        <v>87.95771976835088</v>
      </c>
    </row>
    <row r="6" spans="1:5" s="8" customFormat="1" ht="16.5" customHeight="1">
      <c r="A6" s="23" t="s">
        <v>31</v>
      </c>
      <c r="B6" s="18">
        <v>1025483.463</v>
      </c>
      <c r="C6" s="18">
        <v>930604.006</v>
      </c>
      <c r="D6" s="48">
        <f>833408.928+753.274</f>
        <v>834162.2019999999</v>
      </c>
      <c r="E6" s="13">
        <f aca="true" t="shared" si="0" ref="E6:E69">SUM(D6)/C6*100</f>
        <v>89.63664422480466</v>
      </c>
    </row>
    <row r="7" spans="1:5" s="3" customFormat="1" ht="14.25" customHeight="1">
      <c r="A7" s="6" t="s">
        <v>1</v>
      </c>
      <c r="B7" s="5">
        <v>658763.806</v>
      </c>
      <c r="C7" s="5">
        <v>603742.367</v>
      </c>
      <c r="D7" s="5">
        <f>550793.261+116.7</f>
        <v>550909.961</v>
      </c>
      <c r="E7" s="13">
        <f t="shared" si="0"/>
        <v>91.24918029812541</v>
      </c>
    </row>
    <row r="8" spans="1:5" s="3" customFormat="1" ht="15">
      <c r="A8" s="6" t="s">
        <v>26</v>
      </c>
      <c r="B8" s="5">
        <v>145790.687</v>
      </c>
      <c r="C8" s="5">
        <v>133581.661</v>
      </c>
      <c r="D8" s="5">
        <f>122446.056+25.6</f>
        <v>122471.656</v>
      </c>
      <c r="E8" s="13">
        <f t="shared" si="0"/>
        <v>91.68298633447895</v>
      </c>
    </row>
    <row r="9" spans="1:5" s="3" customFormat="1" ht="15">
      <c r="A9" s="6" t="s">
        <v>4</v>
      </c>
      <c r="B9" s="5">
        <v>187.729</v>
      </c>
      <c r="C9" s="5">
        <v>187.729</v>
      </c>
      <c r="D9" s="5">
        <v>184.054</v>
      </c>
      <c r="E9" s="13">
        <f t="shared" si="0"/>
        <v>98.0423908932557</v>
      </c>
    </row>
    <row r="10" spans="1:5" s="3" customFormat="1" ht="15">
      <c r="A10" s="6" t="s">
        <v>5</v>
      </c>
      <c r="B10" s="5">
        <v>56662.124</v>
      </c>
      <c r="C10" s="5">
        <v>48285.695</v>
      </c>
      <c r="D10" s="5">
        <f>41021.906+101.688</f>
        <v>41123.594000000005</v>
      </c>
      <c r="E10" s="13">
        <f t="shared" si="0"/>
        <v>85.16724052537714</v>
      </c>
    </row>
    <row r="11" spans="1:5" s="3" customFormat="1" ht="15">
      <c r="A11" s="6" t="s">
        <v>28</v>
      </c>
      <c r="B11" s="5">
        <v>88069.465</v>
      </c>
      <c r="C11" s="5">
        <v>72642.803</v>
      </c>
      <c r="D11" s="5">
        <f>58001.551+183.462</f>
        <v>58185.013</v>
      </c>
      <c r="E11" s="13">
        <f t="shared" si="0"/>
        <v>80.09742272747928</v>
      </c>
    </row>
    <row r="12" spans="1:5" s="53" customFormat="1" ht="15">
      <c r="A12" s="29" t="s">
        <v>13</v>
      </c>
      <c r="B12" s="47">
        <f>SUM(B6)-B7-B8-B9-B10-B11</f>
        <v>76009.652</v>
      </c>
      <c r="C12" s="47">
        <f>SUM(C6)-C7-C8-C9-C10-C11</f>
        <v>72163.75100000009</v>
      </c>
      <c r="D12" s="47">
        <f>SUM(D6)-D7-D8-D9-D10-D11</f>
        <v>61287.92399999989</v>
      </c>
      <c r="E12" s="54">
        <f t="shared" si="0"/>
        <v>84.92896107908777</v>
      </c>
    </row>
    <row r="13" spans="1:5" s="3" customFormat="1" ht="15">
      <c r="A13" s="23" t="s">
        <v>14</v>
      </c>
      <c r="B13" s="18">
        <v>100720.221</v>
      </c>
      <c r="C13" s="18">
        <v>100152.409</v>
      </c>
      <c r="D13" s="18">
        <f>71722.636+745.001</f>
        <v>72467.637</v>
      </c>
      <c r="E13" s="13">
        <f t="shared" si="0"/>
        <v>72.35735787443716</v>
      </c>
    </row>
    <row r="14" spans="1:5" s="2" customFormat="1" ht="14.25">
      <c r="A14" s="10" t="s">
        <v>6</v>
      </c>
      <c r="B14" s="11">
        <f>B15+B22</f>
        <v>544263.477</v>
      </c>
      <c r="C14" s="11">
        <f>C15+C22</f>
        <v>501308.551</v>
      </c>
      <c r="D14" s="11">
        <f>D15+D22</f>
        <v>458743.717</v>
      </c>
      <c r="E14" s="12">
        <f t="shared" si="0"/>
        <v>91.50925434742884</v>
      </c>
    </row>
    <row r="15" spans="1:5" s="8" customFormat="1" ht="15">
      <c r="A15" s="23" t="s">
        <v>30</v>
      </c>
      <c r="B15" s="18">
        <f>481732.436+29819.268</f>
        <v>511551.70399999997</v>
      </c>
      <c r="C15" s="18">
        <f>441204.635+27392.143</f>
        <v>468596.778</v>
      </c>
      <c r="D15" s="18">
        <f>404352.164+1043.894+25484.813</f>
        <v>430880.871</v>
      </c>
      <c r="E15" s="13">
        <f t="shared" si="0"/>
        <v>91.95130893537642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3" customFormat="1" ht="15">
      <c r="A21" s="55" t="s">
        <v>13</v>
      </c>
      <c r="B21" s="47">
        <f>SUM(B15)-B16-B17-B18-B19-B20</f>
        <v>511551.70399999997</v>
      </c>
      <c r="C21" s="47">
        <f>SUM(C15)-C16-C17-C18-C19-C20</f>
        <v>468596.778</v>
      </c>
      <c r="D21" s="47">
        <f>SUM(D15)-D16-D17-D18-D19-D20</f>
        <v>430880.871</v>
      </c>
      <c r="E21" s="54">
        <f t="shared" si="0"/>
        <v>91.95130893537642</v>
      </c>
    </row>
    <row r="22" spans="1:5" s="3" customFormat="1" ht="15">
      <c r="A22" s="36" t="s">
        <v>14</v>
      </c>
      <c r="B22" s="18">
        <f>29824.321+2887.452</f>
        <v>32711.773</v>
      </c>
      <c r="C22" s="18">
        <v>32711.773</v>
      </c>
      <c r="D22" s="18">
        <v>27862.846</v>
      </c>
      <c r="E22" s="13">
        <f t="shared" si="0"/>
        <v>85.1768138645374</v>
      </c>
    </row>
    <row r="23" spans="1:5" s="2" customFormat="1" ht="24" customHeight="1">
      <c r="A23" s="10" t="s">
        <v>25</v>
      </c>
      <c r="B23" s="11">
        <f>B24+B34</f>
        <v>1055397.595</v>
      </c>
      <c r="C23" s="11">
        <f>C24+C34</f>
        <v>997317.942</v>
      </c>
      <c r="D23" s="11">
        <f>D24+D34</f>
        <v>960610.547</v>
      </c>
      <c r="E23" s="12">
        <f t="shared" si="0"/>
        <v>96.31938888752089</v>
      </c>
    </row>
    <row r="24" spans="1:6" s="8" customFormat="1" ht="15">
      <c r="A24" s="23" t="s">
        <v>30</v>
      </c>
      <c r="B24" s="48">
        <v>1049048.705</v>
      </c>
      <c r="C24" s="48">
        <v>990969.052</v>
      </c>
      <c r="D24" s="48">
        <v>957027.409</v>
      </c>
      <c r="E24" s="13">
        <f t="shared" si="0"/>
        <v>96.57490383463559</v>
      </c>
      <c r="F24" s="79"/>
    </row>
    <row r="25" spans="1:6" s="3" customFormat="1" ht="15">
      <c r="A25" s="6" t="s">
        <v>1</v>
      </c>
      <c r="B25" s="47">
        <v>22699.713</v>
      </c>
      <c r="C25" s="47">
        <v>20728.011</v>
      </c>
      <c r="D25" s="47">
        <v>18638.971</v>
      </c>
      <c r="E25" s="13">
        <f t="shared" si="0"/>
        <v>89.92165722027069</v>
      </c>
      <c r="F25" s="58"/>
    </row>
    <row r="26" spans="1:6" s="3" customFormat="1" ht="15">
      <c r="A26" s="6" t="s">
        <v>26</v>
      </c>
      <c r="B26" s="47">
        <v>4944.224</v>
      </c>
      <c r="C26" s="47">
        <v>4538.403</v>
      </c>
      <c r="D26" s="47">
        <v>4097.711</v>
      </c>
      <c r="E26" s="13">
        <f t="shared" si="0"/>
        <v>90.28971204187904</v>
      </c>
      <c r="F26" s="58"/>
    </row>
    <row r="27" spans="1:6" s="3" customFormat="1" ht="15">
      <c r="A27" s="6" t="s">
        <v>4</v>
      </c>
      <c r="B27" s="47">
        <v>100.175</v>
      </c>
      <c r="C27" s="47">
        <v>97.725</v>
      </c>
      <c r="D27" s="47">
        <v>94.224</v>
      </c>
      <c r="E27" s="13">
        <f t="shared" si="0"/>
        <v>96.41749808135074</v>
      </c>
      <c r="F27" s="58"/>
    </row>
    <row r="28" spans="1:6" s="3" customFormat="1" ht="15">
      <c r="A28" s="6" t="s">
        <v>5</v>
      </c>
      <c r="B28" s="47">
        <v>326.99</v>
      </c>
      <c r="C28" s="47">
        <v>304.45</v>
      </c>
      <c r="D28" s="47">
        <v>266.599</v>
      </c>
      <c r="E28" s="13">
        <f t="shared" si="0"/>
        <v>87.5674166529808</v>
      </c>
      <c r="F28" s="58"/>
    </row>
    <row r="29" spans="1:6" s="3" customFormat="1" ht="15">
      <c r="A29" s="6" t="s">
        <v>28</v>
      </c>
      <c r="B29" s="47">
        <v>1301.5</v>
      </c>
      <c r="C29" s="47">
        <v>1131.904</v>
      </c>
      <c r="D29" s="47">
        <v>792.397</v>
      </c>
      <c r="E29" s="13">
        <f t="shared" si="0"/>
        <v>70.00567185909759</v>
      </c>
      <c r="F29" s="58"/>
    </row>
    <row r="30" spans="1:6" s="3" customFormat="1" ht="15">
      <c r="A30" s="6" t="s">
        <v>13</v>
      </c>
      <c r="B30" s="47">
        <f>SUM(B24)-B25-B26-B27-B28-B29</f>
        <v>1019676.103</v>
      </c>
      <c r="C30" s="47">
        <f>SUM(C24)-C25-C26-C27-C28-C29</f>
        <v>964168.559</v>
      </c>
      <c r="D30" s="47">
        <f>SUM(D24)-D25-D26-D27-D28-D29</f>
        <v>933137.5069999999</v>
      </c>
      <c r="E30" s="13">
        <f t="shared" si="0"/>
        <v>96.78157395713211</v>
      </c>
      <c r="F30" s="58"/>
    </row>
    <row r="31" spans="1:6" s="3" customFormat="1" ht="15">
      <c r="A31" s="6" t="s">
        <v>18</v>
      </c>
      <c r="B31" s="5">
        <f>SUM(B32:B33)</f>
        <v>941871.8999999999</v>
      </c>
      <c r="C31" s="5">
        <f>SUM(C32:C33)</f>
        <v>892260.666</v>
      </c>
      <c r="D31" s="5">
        <f>SUM(D32:D33)</f>
        <v>869551.446</v>
      </c>
      <c r="E31" s="13">
        <f t="shared" si="0"/>
        <v>97.45486707356436</v>
      </c>
      <c r="F31" s="58"/>
    </row>
    <row r="32" spans="1:6" s="3" customFormat="1" ht="15">
      <c r="A32" s="7" t="s">
        <v>21</v>
      </c>
      <c r="B32" s="80">
        <v>521582.3</v>
      </c>
      <c r="C32" s="80">
        <v>472045.066</v>
      </c>
      <c r="D32" s="81">
        <v>456560.446</v>
      </c>
      <c r="E32" s="82">
        <f t="shared" si="0"/>
        <v>96.71967337118613</v>
      </c>
      <c r="F32" s="58"/>
    </row>
    <row r="33" spans="1:6" s="3" customFormat="1" ht="15">
      <c r="A33" s="7" t="s">
        <v>19</v>
      </c>
      <c r="B33" s="5">
        <v>420289.6</v>
      </c>
      <c r="C33" s="5">
        <v>420215.6</v>
      </c>
      <c r="D33" s="47">
        <v>412991</v>
      </c>
      <c r="E33" s="13">
        <f t="shared" si="0"/>
        <v>98.28073969647963</v>
      </c>
      <c r="F33" s="58"/>
    </row>
    <row r="34" spans="1:6" s="3" customFormat="1" ht="15">
      <c r="A34" s="23" t="s">
        <v>14</v>
      </c>
      <c r="B34" s="48">
        <v>6348.89</v>
      </c>
      <c r="C34" s="48">
        <v>6348.89</v>
      </c>
      <c r="D34" s="48">
        <v>3583.138</v>
      </c>
      <c r="E34" s="13">
        <f t="shared" si="0"/>
        <v>56.43723548525805</v>
      </c>
      <c r="F34" s="58"/>
    </row>
    <row r="35" spans="1:5" s="2" customFormat="1" ht="14.25">
      <c r="A35" s="10" t="s">
        <v>7</v>
      </c>
      <c r="B35" s="50">
        <f>B36+B41</f>
        <v>150822.359</v>
      </c>
      <c r="C35" s="50">
        <f>C36+C41</f>
        <v>140605.796</v>
      </c>
      <c r="D35" s="50">
        <f>D36+D41</f>
        <v>112102.434</v>
      </c>
      <c r="E35" s="12">
        <f t="shared" si="0"/>
        <v>79.72817422121062</v>
      </c>
    </row>
    <row r="36" spans="1:5" s="8" customFormat="1" ht="15">
      <c r="A36" s="23" t="s">
        <v>30</v>
      </c>
      <c r="B36" s="48">
        <v>126595.773</v>
      </c>
      <c r="C36" s="48">
        <v>116379.21</v>
      </c>
      <c r="D36" s="48">
        <f>100152.366+430.34</f>
        <v>100582.70599999999</v>
      </c>
      <c r="E36" s="13">
        <f t="shared" si="0"/>
        <v>86.42669597086969</v>
      </c>
    </row>
    <row r="37" spans="1:5" s="3" customFormat="1" ht="15">
      <c r="A37" s="6" t="s">
        <v>1</v>
      </c>
      <c r="B37" s="47">
        <v>61525.389</v>
      </c>
      <c r="C37" s="47">
        <v>56575.535</v>
      </c>
      <c r="D37" s="47">
        <f>51705.334+294.1</f>
        <v>51999.434</v>
      </c>
      <c r="E37" s="13">
        <f t="shared" si="0"/>
        <v>91.91151970546986</v>
      </c>
    </row>
    <row r="38" spans="1:5" s="3" customFormat="1" ht="15">
      <c r="A38" s="6" t="s">
        <v>26</v>
      </c>
      <c r="B38" s="47">
        <v>13662.526</v>
      </c>
      <c r="C38" s="47">
        <v>12634.082</v>
      </c>
      <c r="D38" s="47">
        <f>11573.85+61.318</f>
        <v>11635.168</v>
      </c>
      <c r="E38" s="13">
        <f t="shared" si="0"/>
        <v>92.09349757267682</v>
      </c>
    </row>
    <row r="39" spans="1:5" s="3" customFormat="1" ht="15">
      <c r="A39" s="6" t="s">
        <v>28</v>
      </c>
      <c r="B39" s="47">
        <v>6322.26</v>
      </c>
      <c r="C39" s="47">
        <v>5453.055</v>
      </c>
      <c r="D39" s="47">
        <f>3867.135+20.335</f>
        <v>3887.4700000000003</v>
      </c>
      <c r="E39" s="13">
        <f t="shared" si="0"/>
        <v>71.28976326114444</v>
      </c>
    </row>
    <row r="40" spans="1:5" s="3" customFormat="1" ht="15">
      <c r="A40" s="6" t="s">
        <v>13</v>
      </c>
      <c r="B40" s="47">
        <f>SUM(B36)-B37-B38-B39</f>
        <v>45085.598</v>
      </c>
      <c r="C40" s="47">
        <f>SUM(C36)-C37-C38-C39</f>
        <v>41716.538</v>
      </c>
      <c r="D40" s="47">
        <f>SUM(D36)-D37-D38-D39</f>
        <v>33060.63399999999</v>
      </c>
      <c r="E40" s="13">
        <f t="shared" si="0"/>
        <v>79.25066552742221</v>
      </c>
    </row>
    <row r="41" spans="1:5" s="3" customFormat="1" ht="15">
      <c r="A41" s="23" t="s">
        <v>14</v>
      </c>
      <c r="B41" s="48">
        <v>24226.586</v>
      </c>
      <c r="C41" s="48">
        <v>24226.586</v>
      </c>
      <c r="D41" s="48">
        <f>11489.725+30.003</f>
        <v>11519.728000000001</v>
      </c>
      <c r="E41" s="13">
        <f t="shared" si="0"/>
        <v>47.54994368583341</v>
      </c>
    </row>
    <row r="42" spans="1:5" s="2" customFormat="1" ht="14.25">
      <c r="A42" s="10" t="s">
        <v>8</v>
      </c>
      <c r="B42" s="50">
        <f>B43+B48</f>
        <v>113806.10999999999</v>
      </c>
      <c r="C42" s="50">
        <f>C43+C48</f>
        <v>108020.68299999999</v>
      </c>
      <c r="D42" s="50">
        <f>D43+D48</f>
        <v>84745.06700000001</v>
      </c>
      <c r="E42" s="12">
        <f t="shared" si="0"/>
        <v>78.4526302245284</v>
      </c>
    </row>
    <row r="43" spans="1:5" s="8" customFormat="1" ht="15">
      <c r="A43" s="23" t="s">
        <v>30</v>
      </c>
      <c r="B43" s="48">
        <v>77212.817</v>
      </c>
      <c r="C43" s="48">
        <v>71427.39</v>
      </c>
      <c r="D43" s="48">
        <f>65164.962+202.044</f>
        <v>65367.006</v>
      </c>
      <c r="E43" s="13">
        <f t="shared" si="0"/>
        <v>91.51532206342694</v>
      </c>
    </row>
    <row r="44" spans="1:5" s="3" customFormat="1" ht="15">
      <c r="A44" s="6" t="s">
        <v>1</v>
      </c>
      <c r="B44" s="47">
        <v>38000.765</v>
      </c>
      <c r="C44" s="47">
        <v>34682.372</v>
      </c>
      <c r="D44" s="47">
        <f>32045.205+99.216</f>
        <v>32144.421000000002</v>
      </c>
      <c r="E44" s="13">
        <f t="shared" si="0"/>
        <v>92.68230269832756</v>
      </c>
    </row>
    <row r="45" spans="1:5" s="3" customFormat="1" ht="15">
      <c r="A45" s="6" t="s">
        <v>26</v>
      </c>
      <c r="B45" s="47">
        <v>8368.851</v>
      </c>
      <c r="C45" s="47">
        <v>7635.127</v>
      </c>
      <c r="D45" s="47">
        <f>7013.725+21.827</f>
        <v>7035.552000000001</v>
      </c>
      <c r="E45" s="13">
        <f t="shared" si="0"/>
        <v>92.14715092492895</v>
      </c>
    </row>
    <row r="46" spans="1:5" s="3" customFormat="1" ht="15">
      <c r="A46" s="6" t="s">
        <v>28</v>
      </c>
      <c r="B46" s="47">
        <v>5627.013</v>
      </c>
      <c r="C46" s="47">
        <v>4788.824</v>
      </c>
      <c r="D46" s="47">
        <f>3598.369+3.998</f>
        <v>3602.367</v>
      </c>
      <c r="E46" s="13">
        <f t="shared" si="0"/>
        <v>75.22446011797469</v>
      </c>
    </row>
    <row r="47" spans="1:5" s="3" customFormat="1" ht="15">
      <c r="A47" s="6" t="s">
        <v>13</v>
      </c>
      <c r="B47" s="47">
        <f>SUM(B43)-B44-B45-B46</f>
        <v>25216.187999999995</v>
      </c>
      <c r="C47" s="47">
        <f>SUM(C43)-C44-C45-C46</f>
        <v>24321.066999999995</v>
      </c>
      <c r="D47" s="47">
        <f>SUM(D43)-D44-D45-D46</f>
        <v>22584.665999999997</v>
      </c>
      <c r="E47" s="13">
        <f t="shared" si="0"/>
        <v>92.86050649011412</v>
      </c>
    </row>
    <row r="48" spans="1:5" s="3" customFormat="1" ht="15">
      <c r="A48" s="23" t="s">
        <v>14</v>
      </c>
      <c r="B48" s="48">
        <v>36593.293</v>
      </c>
      <c r="C48" s="48">
        <v>36593.293</v>
      </c>
      <c r="D48" s="48">
        <v>19378.061</v>
      </c>
      <c r="E48" s="13">
        <f t="shared" si="0"/>
        <v>52.955225975426714</v>
      </c>
    </row>
    <row r="49" spans="1:5" s="3" customFormat="1" ht="14.25">
      <c r="A49" s="10" t="s">
        <v>0</v>
      </c>
      <c r="B49" s="11">
        <f>B50+B55</f>
        <v>163848.806</v>
      </c>
      <c r="C49" s="11">
        <f>C50+C55</f>
        <v>149491.29200000002</v>
      </c>
      <c r="D49" s="11">
        <f>D50+D55</f>
        <v>120434.52</v>
      </c>
      <c r="E49" s="12">
        <f t="shared" si="0"/>
        <v>80.56289994470045</v>
      </c>
    </row>
    <row r="50" spans="1:5" s="3" customFormat="1" ht="15">
      <c r="A50" s="23" t="s">
        <v>30</v>
      </c>
      <c r="B50" s="18">
        <f>146383.581+90.5</f>
        <v>146474.081</v>
      </c>
      <c r="C50" s="18">
        <v>132284.567</v>
      </c>
      <c r="D50" s="18">
        <v>114920.814</v>
      </c>
      <c r="E50" s="13">
        <f t="shared" si="0"/>
        <v>86.87393896825469</v>
      </c>
    </row>
    <row r="51" spans="1:5" s="3" customFormat="1" ht="15">
      <c r="A51" s="6" t="s">
        <v>1</v>
      </c>
      <c r="B51" s="5">
        <f>96802.106+74.2</f>
        <v>96876.306</v>
      </c>
      <c r="C51" s="5">
        <v>86969.969</v>
      </c>
      <c r="D51" s="5">
        <v>78704.57</v>
      </c>
      <c r="E51" s="13">
        <f t="shared" si="0"/>
        <v>90.49626084148657</v>
      </c>
    </row>
    <row r="52" spans="1:5" s="3" customFormat="1" ht="15">
      <c r="A52" s="6" t="s">
        <v>26</v>
      </c>
      <c r="B52" s="5">
        <v>21287.262</v>
      </c>
      <c r="C52" s="5">
        <v>19152.735</v>
      </c>
      <c r="D52" s="5">
        <v>17150.823</v>
      </c>
      <c r="E52" s="13">
        <f t="shared" si="0"/>
        <v>89.54764423984355</v>
      </c>
    </row>
    <row r="53" spans="1:5" s="3" customFormat="1" ht="15">
      <c r="A53" s="6" t="s">
        <v>28</v>
      </c>
      <c r="B53" s="5">
        <f>5245.45-5.681</f>
        <v>5239.769</v>
      </c>
      <c r="C53" s="5">
        <v>4445.475</v>
      </c>
      <c r="D53" s="5">
        <v>3120.316</v>
      </c>
      <c r="E53" s="13">
        <f t="shared" si="0"/>
        <v>70.19083450025025</v>
      </c>
    </row>
    <row r="54" spans="1:5" s="3" customFormat="1" ht="15">
      <c r="A54" s="6" t="s">
        <v>13</v>
      </c>
      <c r="B54" s="5">
        <f>SUM(B50)-B51-B52-B53+5.681</f>
        <v>23076.42500000001</v>
      </c>
      <c r="C54" s="5">
        <f>SUM(C50)-C51-C52-C53</f>
        <v>21716.388000000014</v>
      </c>
      <c r="D54" s="5">
        <f>SUM(D50)-D51-D52-D53</f>
        <v>15945.104999999992</v>
      </c>
      <c r="E54" s="13">
        <f t="shared" si="0"/>
        <v>73.4242959740818</v>
      </c>
    </row>
    <row r="55" spans="1:7" s="3" customFormat="1" ht="15">
      <c r="A55" s="23" t="s">
        <v>14</v>
      </c>
      <c r="B55" s="18">
        <v>17374.725</v>
      </c>
      <c r="C55" s="18">
        <v>17206.725</v>
      </c>
      <c r="D55" s="18">
        <v>5513.706</v>
      </c>
      <c r="E55" s="13">
        <f t="shared" si="0"/>
        <v>32.04390143969872</v>
      </c>
      <c r="G55" s="76"/>
    </row>
    <row r="56" spans="1:7" s="58" customFormat="1" ht="14.25" customHeight="1">
      <c r="A56" s="14" t="s">
        <v>9</v>
      </c>
      <c r="B56" s="15">
        <f>B57+B60</f>
        <v>554612.051</v>
      </c>
      <c r="C56" s="15">
        <f>C57+C60</f>
        <v>545326.498</v>
      </c>
      <c r="D56" s="49">
        <f>D57+D60</f>
        <v>295569.193</v>
      </c>
      <c r="E56" s="12">
        <f t="shared" si="0"/>
        <v>54.20040912811099</v>
      </c>
      <c r="G56" s="73"/>
    </row>
    <row r="57" spans="1:7" s="58" customFormat="1" ht="14.25" customHeight="1">
      <c r="A57" s="23" t="s">
        <v>30</v>
      </c>
      <c r="B57" s="18">
        <v>345485.049</v>
      </c>
      <c r="C57" s="18">
        <v>336444.496</v>
      </c>
      <c r="D57" s="18">
        <f>177136.928+787.233</f>
        <v>177924.16100000002</v>
      </c>
      <c r="E57" s="13">
        <f t="shared" si="0"/>
        <v>52.88365930052249</v>
      </c>
      <c r="G57" s="74"/>
    </row>
    <row r="58" spans="1:7" s="58" customFormat="1" ht="15">
      <c r="A58" s="6" t="s">
        <v>28</v>
      </c>
      <c r="B58" s="5">
        <v>26959.025</v>
      </c>
      <c r="C58" s="5">
        <v>26750.177</v>
      </c>
      <c r="D58" s="5">
        <f>21851.309+5.099</f>
        <v>21856.408</v>
      </c>
      <c r="E58" s="13">
        <f t="shared" si="0"/>
        <v>81.70565749901392</v>
      </c>
      <c r="G58" s="75"/>
    </row>
    <row r="59" spans="1:7" s="58" customFormat="1" ht="15">
      <c r="A59" s="6" t="s">
        <v>13</v>
      </c>
      <c r="B59" s="5">
        <f>SUM(B57)-B58</f>
        <v>318526.024</v>
      </c>
      <c r="C59" s="5">
        <f>SUM(C57)-C58</f>
        <v>309694.31899999996</v>
      </c>
      <c r="D59" s="5">
        <f>SUM(D57)-D58</f>
        <v>156067.75300000003</v>
      </c>
      <c r="E59" s="13">
        <f t="shared" si="0"/>
        <v>50.394128476086145</v>
      </c>
      <c r="G59" s="75"/>
    </row>
    <row r="60" spans="1:7" s="58" customFormat="1" ht="15">
      <c r="A60" s="23" t="s">
        <v>14</v>
      </c>
      <c r="B60" s="18">
        <v>209127.002</v>
      </c>
      <c r="C60" s="18">
        <v>208882.002</v>
      </c>
      <c r="D60" s="18">
        <f>117166.588+478.444</f>
        <v>117645.032</v>
      </c>
      <c r="E60" s="13">
        <f t="shared" si="0"/>
        <v>56.321287077667904</v>
      </c>
      <c r="G60" s="74"/>
    </row>
    <row r="61" spans="1:7" s="58" customFormat="1" ht="17.25" customHeight="1">
      <c r="A61" s="14" t="s">
        <v>35</v>
      </c>
      <c r="B61" s="15">
        <f>SUM(B62)</f>
        <v>184133.332</v>
      </c>
      <c r="C61" s="15">
        <f>SUM(C62)</f>
        <v>178347.476</v>
      </c>
      <c r="D61" s="15">
        <f>SUM(D62)</f>
        <v>71939.863</v>
      </c>
      <c r="E61" s="12">
        <f t="shared" si="0"/>
        <v>40.3369111879105</v>
      </c>
      <c r="G61" s="76"/>
    </row>
    <row r="62" spans="1:7" s="58" customFormat="1" ht="15">
      <c r="A62" s="23" t="s">
        <v>14</v>
      </c>
      <c r="B62" s="18">
        <v>184133.332</v>
      </c>
      <c r="C62" s="18">
        <v>178347.476</v>
      </c>
      <c r="D62" s="18">
        <f>70673.447+1266.416</f>
        <v>71939.863</v>
      </c>
      <c r="E62" s="13">
        <f t="shared" si="0"/>
        <v>40.3369111879105</v>
      </c>
      <c r="G62" s="76"/>
    </row>
    <row r="63" spans="1:7" s="58" customFormat="1" ht="15" customHeight="1">
      <c r="A63" s="16" t="s">
        <v>16</v>
      </c>
      <c r="B63" s="15">
        <f>SUM(B64:B65)</f>
        <v>181591.049</v>
      </c>
      <c r="C63" s="15">
        <f>SUM(C64:C65)</f>
        <v>181091.049</v>
      </c>
      <c r="D63" s="15">
        <f>SUM(D64:D65)</f>
        <v>117544.266</v>
      </c>
      <c r="E63" s="12">
        <f t="shared" si="0"/>
        <v>64.90893208090037</v>
      </c>
      <c r="G63" s="77"/>
    </row>
    <row r="64" spans="1:7" s="58" customFormat="1" ht="15">
      <c r="A64" s="23" t="s">
        <v>13</v>
      </c>
      <c r="B64" s="18">
        <v>97630.315</v>
      </c>
      <c r="C64" s="18">
        <v>97130.315</v>
      </c>
      <c r="D64" s="18">
        <v>63649.414</v>
      </c>
      <c r="E64" s="13">
        <f t="shared" si="0"/>
        <v>65.52991617498614</v>
      </c>
      <c r="G64" s="71"/>
    </row>
    <row r="65" spans="1:7" s="58" customFormat="1" ht="15">
      <c r="A65" s="23" t="s">
        <v>14</v>
      </c>
      <c r="B65" s="18">
        <v>83960.734</v>
      </c>
      <c r="C65" s="18">
        <v>83960.734</v>
      </c>
      <c r="D65" s="18">
        <v>53894.852</v>
      </c>
      <c r="E65" s="13">
        <f t="shared" si="0"/>
        <v>64.19054411792064</v>
      </c>
      <c r="G65" s="71"/>
    </row>
    <row r="66" spans="1:7" s="58" customFormat="1" ht="45.75" customHeight="1">
      <c r="A66" s="17" t="s">
        <v>20</v>
      </c>
      <c r="B66" s="15">
        <f>SUM(B67:B67)</f>
        <v>15068.326</v>
      </c>
      <c r="C66" s="15">
        <f>SUM(C67:C67)</f>
        <v>15068.326</v>
      </c>
      <c r="D66" s="15">
        <f>SUM(D67:D67)</f>
        <v>15068.326</v>
      </c>
      <c r="E66" s="12">
        <f t="shared" si="0"/>
        <v>100</v>
      </c>
      <c r="G66" s="77"/>
    </row>
    <row r="67" spans="1:7" s="58" customFormat="1" ht="15">
      <c r="A67" s="23" t="s">
        <v>14</v>
      </c>
      <c r="B67" s="18">
        <v>15068.326</v>
      </c>
      <c r="C67" s="18">
        <v>15068.326</v>
      </c>
      <c r="D67" s="18">
        <v>15068.326</v>
      </c>
      <c r="E67" s="13">
        <f t="shared" si="0"/>
        <v>100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8158.621</v>
      </c>
      <c r="D68" s="11">
        <f>SUM(D69)+D72</f>
        <v>7291.732</v>
      </c>
      <c r="E68" s="12">
        <f t="shared" si="0"/>
        <v>89.37456464762856</v>
      </c>
      <c r="G68" s="76"/>
    </row>
    <row r="69" spans="1:7" s="58" customFormat="1" ht="15">
      <c r="A69" s="23" t="s">
        <v>30</v>
      </c>
      <c r="B69" s="18">
        <v>8564</v>
      </c>
      <c r="C69" s="18">
        <v>7988.621</v>
      </c>
      <c r="D69" s="18">
        <v>7129.431</v>
      </c>
      <c r="E69" s="13">
        <f t="shared" si="0"/>
        <v>89.24482711096195</v>
      </c>
      <c r="G69" s="76"/>
    </row>
    <row r="70" spans="1:7" s="58" customFormat="1" ht="15">
      <c r="A70" s="6" t="s">
        <v>28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  <c r="G70" s="76"/>
    </row>
    <row r="71" spans="1:7" s="58" customFormat="1" ht="15">
      <c r="A71" s="6" t="s">
        <v>13</v>
      </c>
      <c r="B71" s="5">
        <f>SUM(B69)-B70</f>
        <v>8545</v>
      </c>
      <c r="C71" s="5">
        <f>SUM(C69)-C70</f>
        <v>7969.7210000000005</v>
      </c>
      <c r="D71" s="5">
        <f>SUM(D69)-D70</f>
        <v>7122.485</v>
      </c>
      <c r="E71" s="12">
        <f t="shared" si="1"/>
        <v>89.36931418301845</v>
      </c>
      <c r="G71" s="76"/>
    </row>
    <row r="72" spans="1:7" s="58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  <c r="G72" s="76"/>
    </row>
    <row r="73" spans="1:7" s="2" customFormat="1" ht="15">
      <c r="A73" s="16" t="s">
        <v>11</v>
      </c>
      <c r="B73" s="11">
        <v>2589.8</v>
      </c>
      <c r="C73" s="11">
        <v>2389.8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</v>
      </c>
      <c r="C74" s="11">
        <v>49350.4</v>
      </c>
      <c r="D74" s="11">
        <v>46359.467</v>
      </c>
      <c r="E74" s="12">
        <f t="shared" si="1"/>
        <v>93.93939461483593</v>
      </c>
      <c r="G74" s="78"/>
    </row>
    <row r="75" spans="1:5" s="2" customFormat="1" ht="15">
      <c r="A75" s="10" t="s">
        <v>17</v>
      </c>
      <c r="B75" s="11">
        <f>SUM(B76)+B80</f>
        <v>140190.992</v>
      </c>
      <c r="C75" s="11">
        <f>SUM(C76)+C80</f>
        <v>139134.186</v>
      </c>
      <c r="D75" s="11">
        <f>SUM(D76)+D80</f>
        <v>98938.272</v>
      </c>
      <c r="E75" s="13">
        <f t="shared" si="1"/>
        <v>71.10996574199243</v>
      </c>
    </row>
    <row r="76" spans="1:5" s="2" customFormat="1" ht="15">
      <c r="A76" s="23" t="s">
        <v>30</v>
      </c>
      <c r="B76" s="18">
        <v>63496.05</v>
      </c>
      <c r="C76" s="18">
        <v>63123.046</v>
      </c>
      <c r="D76" s="18">
        <v>49593.892</v>
      </c>
      <c r="E76" s="12">
        <f t="shared" si="1"/>
        <v>78.56701338525394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63496.05</v>
      </c>
      <c r="C79" s="5">
        <f>SUM(C76)-C77-C78</f>
        <v>63123.046</v>
      </c>
      <c r="D79" s="5">
        <f>SUM(D76)-D77-D78</f>
        <v>49593.892</v>
      </c>
      <c r="E79" s="13">
        <f aca="true" t="shared" si="2" ref="E79:E90">SUM(D79)/C79*100</f>
        <v>78.56701338525394</v>
      </c>
    </row>
    <row r="80" spans="1:5" s="3" customFormat="1" ht="15">
      <c r="A80" s="23" t="s">
        <v>14</v>
      </c>
      <c r="B80" s="18">
        <f>76386.942+308</f>
        <v>76694.942</v>
      </c>
      <c r="C80" s="18">
        <v>76011.14</v>
      </c>
      <c r="D80" s="18">
        <v>49344.38</v>
      </c>
      <c r="E80" s="13">
        <f t="shared" si="2"/>
        <v>64.91730027993265</v>
      </c>
    </row>
    <row r="81" spans="1:5" s="3" customFormat="1" ht="27">
      <c r="A81" s="19" t="s">
        <v>22</v>
      </c>
      <c r="B81" s="50">
        <v>25360.833</v>
      </c>
      <c r="C81" s="50">
        <v>25162.718</v>
      </c>
      <c r="D81" s="50">
        <f>18000+3500</f>
        <v>21500</v>
      </c>
      <c r="E81" s="13">
        <f t="shared" si="2"/>
        <v>85.44386977591212</v>
      </c>
    </row>
    <row r="82" spans="1:5" s="56" customFormat="1" ht="15.75">
      <c r="A82" s="20" t="s">
        <v>24</v>
      </c>
      <c r="B82" s="51">
        <f>B5+B14+B23+B35+B42+B49+B56+B61+B63+B66+B68+B73+B74+B75+B81</f>
        <v>4320459.213999999</v>
      </c>
      <c r="C82" s="51">
        <f>C5+C14+C23+C35+C42+C49+C56+C61+C63+C66+C68+C73+C74+C75+C81</f>
        <v>4071529.752999999</v>
      </c>
      <c r="D82" s="21">
        <f>D5+D14+D23+D35+D42+D49+D56+D61+D63+D66+D68+D73+D74+D75+D81</f>
        <v>3317477.2429999993</v>
      </c>
      <c r="E82" s="52">
        <f t="shared" si="2"/>
        <v>81.47987229015344</v>
      </c>
    </row>
    <row r="83" spans="1:17" s="56" customFormat="1" ht="15.75">
      <c r="A83" s="10" t="s">
        <v>30</v>
      </c>
      <c r="B83" s="21">
        <f>B6+B15+B24+B36+B43+B50+B57+B64+B69+B76+B74</f>
        <v>3505378.7569999993</v>
      </c>
      <c r="C83" s="21">
        <f>C6+C15+C24+C36+C43+C50+C57+C64+C69+C76+C74</f>
        <v>3264297.8809999996</v>
      </c>
      <c r="D83" s="21">
        <f>D6+D15+D24+D36+D43+D50+D57+D64+D69+D76+D74</f>
        <v>2847597.372999999</v>
      </c>
      <c r="E83" s="52">
        <f t="shared" si="2"/>
        <v>87.2346053212415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 ht="15">
      <c r="A84" s="22" t="s">
        <v>1</v>
      </c>
      <c r="B84" s="15">
        <f aca="true" t="shared" si="3" ref="B84:D85">B7+B16+B25+B37+B44+B51+B77</f>
        <v>877865.9789999999</v>
      </c>
      <c r="C84" s="15">
        <f t="shared" si="3"/>
        <v>802698.2540000001</v>
      </c>
      <c r="D84" s="15">
        <f t="shared" si="3"/>
        <v>732397.3570000001</v>
      </c>
      <c r="E84" s="12">
        <f t="shared" si="2"/>
        <v>91.24192725601718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 ht="15">
      <c r="A85" s="22" t="s">
        <v>27</v>
      </c>
      <c r="B85" s="15">
        <f t="shared" si="3"/>
        <v>194053.55</v>
      </c>
      <c r="C85" s="15">
        <f t="shared" si="3"/>
        <v>177542.00799999997</v>
      </c>
      <c r="D85" s="15">
        <f t="shared" si="3"/>
        <v>162390.91</v>
      </c>
      <c r="E85" s="12">
        <f t="shared" si="2"/>
        <v>91.46618979323475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 ht="15">
      <c r="A86" s="22" t="s">
        <v>2</v>
      </c>
      <c r="B86" s="15">
        <f>B70+B11+B20+B29+B39+B46+B53+B58</f>
        <v>133538.032</v>
      </c>
      <c r="C86" s="15">
        <f>C70+C11+C20+C29+C39+C46+C53+C58</f>
        <v>115231.13799999998</v>
      </c>
      <c r="D86" s="15">
        <f>D70+D11+D20+D29+D39+D46+D53+D58</f>
        <v>91450.917</v>
      </c>
      <c r="E86" s="12">
        <f t="shared" si="2"/>
        <v>79.36302512260185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 ht="15">
      <c r="A87" s="22" t="s">
        <v>13</v>
      </c>
      <c r="B87" s="15">
        <f>B83-B84-B85-B86</f>
        <v>2299921.1959999995</v>
      </c>
      <c r="C87" s="15">
        <f>C83-C84-C85-C86</f>
        <v>2168826.4809999997</v>
      </c>
      <c r="D87" s="15">
        <f>D83-D84-D85-D86</f>
        <v>1861358.188999999</v>
      </c>
      <c r="E87" s="12">
        <f t="shared" si="2"/>
        <v>85.82328763072675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787129.824</v>
      </c>
      <c r="C88" s="11">
        <f>C13+C22+C41+C34+C55+C60+C62+C65+C67+C72+C80+C48</f>
        <v>779679.3539999999</v>
      </c>
      <c r="D88" s="11">
        <f>D13+D22+D41+D34+D55+D60+D62+D65+D67+D72+D80+D48</f>
        <v>448379.87</v>
      </c>
      <c r="E88" s="12">
        <f t="shared" si="2"/>
        <v>57.508239470452885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 ht="15">
      <c r="A89" s="10" t="s">
        <v>23</v>
      </c>
      <c r="B89" s="11">
        <f>SUM(B81)</f>
        <v>25360.833</v>
      </c>
      <c r="C89" s="11">
        <f>SUM(C81)</f>
        <v>25162.718</v>
      </c>
      <c r="D89" s="11">
        <f>SUM(D81)</f>
        <v>21500</v>
      </c>
      <c r="E89" s="12">
        <f t="shared" si="2"/>
        <v>85.44386977591212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 ht="15">
      <c r="A90" s="10" t="s">
        <v>29</v>
      </c>
      <c r="B90" s="11">
        <f>SUM(B73)</f>
        <v>2589.8</v>
      </c>
      <c r="C90" s="11">
        <f>SUM(C73)</f>
        <v>2389.8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2:17" ht="15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2:17" ht="15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2:17" ht="15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2:4" ht="15">
      <c r="B94" s="39"/>
      <c r="C94" s="38"/>
      <c r="D94" s="40"/>
    </row>
    <row r="95" spans="2:4" ht="15">
      <c r="B95" s="39"/>
      <c r="C95" s="39"/>
      <c r="D95" s="39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55">
      <selection activeCell="C79" sqref="C79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5742187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90" t="s">
        <v>68</v>
      </c>
      <c r="B1" s="90"/>
      <c r="C1" s="90"/>
      <c r="D1" s="90"/>
      <c r="E1" s="90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91"/>
      <c r="B3" s="88" t="s">
        <v>34</v>
      </c>
      <c r="C3" s="88" t="s">
        <v>70</v>
      </c>
      <c r="D3" s="88" t="s">
        <v>72</v>
      </c>
      <c r="E3" s="88" t="s">
        <v>32</v>
      </c>
    </row>
    <row r="4" spans="1:5" s="24" customFormat="1" ht="114" customHeight="1">
      <c r="A4" s="92"/>
      <c r="B4" s="89"/>
      <c r="C4" s="89"/>
      <c r="D4" s="89"/>
      <c r="E4" s="89"/>
    </row>
    <row r="5" spans="1:5" s="27" customFormat="1" ht="14.25">
      <c r="A5" s="59" t="s">
        <v>36</v>
      </c>
      <c r="B5" s="11">
        <f>B6+B13</f>
        <v>1126203.684</v>
      </c>
      <c r="C5" s="11">
        <f>C6+C13</f>
        <v>1030756.415</v>
      </c>
      <c r="D5" s="11">
        <f>D6+D13</f>
        <v>906629.8389999999</v>
      </c>
      <c r="E5" s="12">
        <f>SUM(D5)/C5*100</f>
        <v>87.95771976835088</v>
      </c>
    </row>
    <row r="6" spans="1:5" s="28" customFormat="1" ht="15">
      <c r="A6" s="60" t="s">
        <v>37</v>
      </c>
      <c r="B6" s="18">
        <v>1025483.463</v>
      </c>
      <c r="C6" s="18">
        <v>930604.006</v>
      </c>
      <c r="D6" s="48">
        <f>833408.928+753.274</f>
        <v>834162.2019999999</v>
      </c>
      <c r="E6" s="13">
        <f aca="true" t="shared" si="0" ref="E6:E69">SUM(D6)/C6*100</f>
        <v>89.63664422480466</v>
      </c>
    </row>
    <row r="7" spans="1:5" s="28" customFormat="1" ht="15">
      <c r="A7" s="29" t="s">
        <v>38</v>
      </c>
      <c r="B7" s="5">
        <v>658763.806</v>
      </c>
      <c r="C7" s="5">
        <v>603742.367</v>
      </c>
      <c r="D7" s="5">
        <f>550793.261+116.7</f>
        <v>550909.961</v>
      </c>
      <c r="E7" s="13">
        <f t="shared" si="0"/>
        <v>91.24918029812541</v>
      </c>
    </row>
    <row r="8" spans="1:5" s="28" customFormat="1" ht="15">
      <c r="A8" s="29" t="s">
        <v>39</v>
      </c>
      <c r="B8" s="5">
        <v>145790.687</v>
      </c>
      <c r="C8" s="5">
        <v>133581.661</v>
      </c>
      <c r="D8" s="5">
        <f>122446.056+25.6</f>
        <v>122471.656</v>
      </c>
      <c r="E8" s="13">
        <f t="shared" si="0"/>
        <v>91.68298633447895</v>
      </c>
    </row>
    <row r="9" spans="1:5" s="28" customFormat="1" ht="15">
      <c r="A9" s="29" t="s">
        <v>40</v>
      </c>
      <c r="B9" s="5">
        <v>187.729</v>
      </c>
      <c r="C9" s="5">
        <v>187.729</v>
      </c>
      <c r="D9" s="5">
        <v>184.054</v>
      </c>
      <c r="E9" s="13">
        <f t="shared" si="0"/>
        <v>98.0423908932557</v>
      </c>
    </row>
    <row r="10" spans="1:5" s="28" customFormat="1" ht="15">
      <c r="A10" s="29" t="s">
        <v>41</v>
      </c>
      <c r="B10" s="5">
        <v>56662.124</v>
      </c>
      <c r="C10" s="5">
        <v>48285.695</v>
      </c>
      <c r="D10" s="5">
        <f>41021.906+101.688</f>
        <v>41123.594000000005</v>
      </c>
      <c r="E10" s="13">
        <f t="shared" si="0"/>
        <v>85.16724052537714</v>
      </c>
    </row>
    <row r="11" spans="1:5" s="28" customFormat="1" ht="30">
      <c r="A11" s="29" t="s">
        <v>42</v>
      </c>
      <c r="B11" s="5">
        <v>88069.465</v>
      </c>
      <c r="C11" s="5">
        <v>72642.803</v>
      </c>
      <c r="D11" s="5">
        <f>58001.551+183.462</f>
        <v>58185.013</v>
      </c>
      <c r="E11" s="13">
        <f t="shared" si="0"/>
        <v>80.09742272747928</v>
      </c>
    </row>
    <row r="12" spans="1:5" s="28" customFormat="1" ht="15">
      <c r="A12" s="29" t="s">
        <v>43</v>
      </c>
      <c r="B12" s="47">
        <f>SUM(B6)-B7-B8-B9-B10-B11</f>
        <v>76009.652</v>
      </c>
      <c r="C12" s="47">
        <f>SUM(C6)-C7-C8-C9-C10-C11</f>
        <v>72163.75100000009</v>
      </c>
      <c r="D12" s="47">
        <f>SUM(D6)-D7-D8-D9-D10-D11</f>
        <v>61287.92399999989</v>
      </c>
      <c r="E12" s="54">
        <f t="shared" si="0"/>
        <v>84.92896107908777</v>
      </c>
    </row>
    <row r="13" spans="1:5" s="28" customFormat="1" ht="15">
      <c r="A13" s="60" t="s">
        <v>44</v>
      </c>
      <c r="B13" s="18">
        <v>100720.221</v>
      </c>
      <c r="C13" s="18">
        <v>100152.409</v>
      </c>
      <c r="D13" s="18">
        <f>71722.636+745.001</f>
        <v>72467.637</v>
      </c>
      <c r="E13" s="13">
        <f t="shared" si="0"/>
        <v>72.35735787443716</v>
      </c>
    </row>
    <row r="14" spans="1:5" s="27" customFormat="1" ht="14.25">
      <c r="A14" s="59" t="s">
        <v>45</v>
      </c>
      <c r="B14" s="11">
        <f>B15+B22</f>
        <v>544263.477</v>
      </c>
      <c r="C14" s="11">
        <f>C15+C22</f>
        <v>501308.551</v>
      </c>
      <c r="D14" s="11">
        <f>D15+D22</f>
        <v>458743.717</v>
      </c>
      <c r="E14" s="12">
        <f t="shared" si="0"/>
        <v>91.50925434742884</v>
      </c>
    </row>
    <row r="15" spans="1:5" s="28" customFormat="1" ht="15">
      <c r="A15" s="60" t="s">
        <v>46</v>
      </c>
      <c r="B15" s="18">
        <f>481732.436+29819.268</f>
        <v>511551.70399999997</v>
      </c>
      <c r="C15" s="18">
        <f>441204.635+27392.143</f>
        <v>468596.778</v>
      </c>
      <c r="D15" s="18">
        <f>404352.164+1043.894+25484.813</f>
        <v>430880.871</v>
      </c>
      <c r="E15" s="13">
        <f t="shared" si="0"/>
        <v>91.95130893537642</v>
      </c>
    </row>
    <row r="16" spans="1:5" s="28" customFormat="1" ht="15">
      <c r="A16" s="29" t="s">
        <v>38</v>
      </c>
      <c r="B16" s="5"/>
      <c r="C16" s="5"/>
      <c r="D16" s="5"/>
      <c r="E16" s="13"/>
    </row>
    <row r="17" spans="1:5" s="28" customFormat="1" ht="15">
      <c r="A17" s="29" t="s">
        <v>39</v>
      </c>
      <c r="B17" s="5"/>
      <c r="C17" s="5"/>
      <c r="D17" s="5"/>
      <c r="E17" s="13"/>
    </row>
    <row r="18" spans="1:5" s="28" customFormat="1" ht="15">
      <c r="A18" s="29" t="s">
        <v>40</v>
      </c>
      <c r="B18" s="5"/>
      <c r="C18" s="5"/>
      <c r="D18" s="5"/>
      <c r="E18" s="13"/>
    </row>
    <row r="19" spans="1:5" s="28" customFormat="1" ht="15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 ht="15">
      <c r="A21" s="29" t="s">
        <v>43</v>
      </c>
      <c r="B21" s="47">
        <f>SUM(B15)-B16-B17-B18-B19-B20</f>
        <v>511551.70399999997</v>
      </c>
      <c r="C21" s="47">
        <f>SUM(C15)-C16-C17-C18-C19-C20</f>
        <v>468596.778</v>
      </c>
      <c r="D21" s="47">
        <f>SUM(D15)-D16-D17-D18-D19-D20</f>
        <v>430880.871</v>
      </c>
      <c r="E21" s="54">
        <f t="shared" si="0"/>
        <v>91.95130893537642</v>
      </c>
    </row>
    <row r="22" spans="1:5" s="28" customFormat="1" ht="15">
      <c r="A22" s="60" t="s">
        <v>44</v>
      </c>
      <c r="B22" s="18">
        <f>29824.321+2887.452</f>
        <v>32711.773</v>
      </c>
      <c r="C22" s="18">
        <v>32711.773</v>
      </c>
      <c r="D22" s="18">
        <v>27862.846</v>
      </c>
      <c r="E22" s="13">
        <f t="shared" si="0"/>
        <v>85.1768138645374</v>
      </c>
    </row>
    <row r="23" spans="1:5" s="27" customFormat="1" ht="28.5">
      <c r="A23" s="59" t="s">
        <v>47</v>
      </c>
      <c r="B23" s="11">
        <f>B24+B34</f>
        <v>1055397.595</v>
      </c>
      <c r="C23" s="11">
        <f>C24+C34</f>
        <v>997317.942</v>
      </c>
      <c r="D23" s="11">
        <f>D24+D34</f>
        <v>960610.547</v>
      </c>
      <c r="E23" s="12">
        <f t="shared" si="0"/>
        <v>96.31938888752089</v>
      </c>
    </row>
    <row r="24" spans="1:5" s="28" customFormat="1" ht="15">
      <c r="A24" s="60" t="s">
        <v>46</v>
      </c>
      <c r="B24" s="48">
        <v>1049048.705</v>
      </c>
      <c r="C24" s="48">
        <v>990969.052</v>
      </c>
      <c r="D24" s="48">
        <v>957027.409</v>
      </c>
      <c r="E24" s="13">
        <f t="shared" si="0"/>
        <v>96.57490383463559</v>
      </c>
    </row>
    <row r="25" spans="1:5" s="28" customFormat="1" ht="15">
      <c r="A25" s="29" t="s">
        <v>38</v>
      </c>
      <c r="B25" s="47">
        <v>22699.713</v>
      </c>
      <c r="C25" s="47">
        <v>20728.011</v>
      </c>
      <c r="D25" s="47">
        <v>18638.971</v>
      </c>
      <c r="E25" s="13">
        <f t="shared" si="0"/>
        <v>89.92165722027069</v>
      </c>
    </row>
    <row r="26" spans="1:5" s="28" customFormat="1" ht="15">
      <c r="A26" s="29" t="s">
        <v>39</v>
      </c>
      <c r="B26" s="47">
        <v>4944.224</v>
      </c>
      <c r="C26" s="47">
        <v>4538.403</v>
      </c>
      <c r="D26" s="47">
        <v>4097.711</v>
      </c>
      <c r="E26" s="13">
        <f t="shared" si="0"/>
        <v>90.28971204187904</v>
      </c>
    </row>
    <row r="27" spans="1:5" s="28" customFormat="1" ht="15">
      <c r="A27" s="29" t="s">
        <v>40</v>
      </c>
      <c r="B27" s="47">
        <v>100.175</v>
      </c>
      <c r="C27" s="47">
        <v>97.725</v>
      </c>
      <c r="D27" s="47">
        <v>94.224</v>
      </c>
      <c r="E27" s="13">
        <f t="shared" si="0"/>
        <v>96.41749808135074</v>
      </c>
    </row>
    <row r="28" spans="1:5" s="28" customFormat="1" ht="15">
      <c r="A28" s="29" t="s">
        <v>41</v>
      </c>
      <c r="B28" s="47">
        <v>326.99</v>
      </c>
      <c r="C28" s="47">
        <v>304.45</v>
      </c>
      <c r="D28" s="47">
        <v>266.599</v>
      </c>
      <c r="E28" s="13">
        <f t="shared" si="0"/>
        <v>87.5674166529808</v>
      </c>
    </row>
    <row r="29" spans="1:5" s="28" customFormat="1" ht="30">
      <c r="A29" s="29" t="s">
        <v>42</v>
      </c>
      <c r="B29" s="47">
        <v>1301.5</v>
      </c>
      <c r="C29" s="47">
        <v>1131.904</v>
      </c>
      <c r="D29" s="47">
        <v>792.397</v>
      </c>
      <c r="E29" s="13">
        <f t="shared" si="0"/>
        <v>70.00567185909759</v>
      </c>
    </row>
    <row r="30" spans="1:5" s="28" customFormat="1" ht="15">
      <c r="A30" s="29" t="s">
        <v>43</v>
      </c>
      <c r="B30" s="47">
        <f>SUM(B24)-B25-B26-B27-B28-B29</f>
        <v>1019676.103</v>
      </c>
      <c r="C30" s="47">
        <f>SUM(C24)-C25-C26-C27-C28-C29</f>
        <v>964168.559</v>
      </c>
      <c r="D30" s="47">
        <f>SUM(D24)-D25-D26-D27-D28-D29</f>
        <v>933137.5069999999</v>
      </c>
      <c r="E30" s="13">
        <f t="shared" si="0"/>
        <v>96.78157395713211</v>
      </c>
    </row>
    <row r="31" spans="1:5" s="28" customFormat="1" ht="15">
      <c r="A31" s="29" t="s">
        <v>48</v>
      </c>
      <c r="B31" s="5">
        <f>SUM(B32:B33)</f>
        <v>941871.8999999999</v>
      </c>
      <c r="C31" s="5">
        <f>SUM(C32:C33)</f>
        <v>892260.666</v>
      </c>
      <c r="D31" s="5">
        <f>SUM(D32:D33)</f>
        <v>869551.446</v>
      </c>
      <c r="E31" s="13">
        <f t="shared" si="0"/>
        <v>97.45486707356436</v>
      </c>
    </row>
    <row r="32" spans="1:5" s="28" customFormat="1" ht="30">
      <c r="A32" s="61" t="s">
        <v>49</v>
      </c>
      <c r="B32" s="80">
        <v>521582.3</v>
      </c>
      <c r="C32" s="80">
        <v>472045.066</v>
      </c>
      <c r="D32" s="81">
        <v>456560.446</v>
      </c>
      <c r="E32" s="82">
        <f t="shared" si="0"/>
        <v>96.71967337118613</v>
      </c>
    </row>
    <row r="33" spans="1:5" s="28" customFormat="1" ht="15">
      <c r="A33" s="61" t="s">
        <v>50</v>
      </c>
      <c r="B33" s="5">
        <v>420289.6</v>
      </c>
      <c r="C33" s="5">
        <v>420215.6</v>
      </c>
      <c r="D33" s="47">
        <v>412991</v>
      </c>
      <c r="E33" s="13">
        <f t="shared" si="0"/>
        <v>98.28073969647963</v>
      </c>
    </row>
    <row r="34" spans="1:5" s="28" customFormat="1" ht="15">
      <c r="A34" s="60" t="s">
        <v>44</v>
      </c>
      <c r="B34" s="48">
        <v>6348.89</v>
      </c>
      <c r="C34" s="48">
        <v>6348.89</v>
      </c>
      <c r="D34" s="48">
        <v>3583.138</v>
      </c>
      <c r="E34" s="13">
        <f t="shared" si="0"/>
        <v>56.43723548525805</v>
      </c>
    </row>
    <row r="35" spans="1:5" s="27" customFormat="1" ht="14.25">
      <c r="A35" s="59" t="s">
        <v>51</v>
      </c>
      <c r="B35" s="50">
        <f>B36+B41</f>
        <v>150822.359</v>
      </c>
      <c r="C35" s="50">
        <f>C36+C41</f>
        <v>140605.796</v>
      </c>
      <c r="D35" s="50">
        <f>D36+D41</f>
        <v>112102.434</v>
      </c>
      <c r="E35" s="12">
        <f t="shared" si="0"/>
        <v>79.72817422121062</v>
      </c>
    </row>
    <row r="36" spans="1:5" s="28" customFormat="1" ht="15">
      <c r="A36" s="60" t="s">
        <v>46</v>
      </c>
      <c r="B36" s="48">
        <v>126595.773</v>
      </c>
      <c r="C36" s="48">
        <v>116379.21</v>
      </c>
      <c r="D36" s="48">
        <f>100152.366+430.34</f>
        <v>100582.70599999999</v>
      </c>
      <c r="E36" s="13">
        <f t="shared" si="0"/>
        <v>86.42669597086969</v>
      </c>
    </row>
    <row r="37" spans="1:5" s="28" customFormat="1" ht="15">
      <c r="A37" s="29" t="s">
        <v>38</v>
      </c>
      <c r="B37" s="47">
        <v>61525.389</v>
      </c>
      <c r="C37" s="47">
        <v>56575.535</v>
      </c>
      <c r="D37" s="47">
        <f>51705.334+294.1</f>
        <v>51999.434</v>
      </c>
      <c r="E37" s="13">
        <f t="shared" si="0"/>
        <v>91.91151970546986</v>
      </c>
    </row>
    <row r="38" spans="1:5" s="28" customFormat="1" ht="15">
      <c r="A38" s="29" t="s">
        <v>39</v>
      </c>
      <c r="B38" s="47">
        <v>13662.526</v>
      </c>
      <c r="C38" s="47">
        <v>12634.082</v>
      </c>
      <c r="D38" s="47">
        <f>11573.85+61.318</f>
        <v>11635.168</v>
      </c>
      <c r="E38" s="13">
        <f t="shared" si="0"/>
        <v>92.09349757267682</v>
      </c>
    </row>
    <row r="39" spans="1:5" s="28" customFormat="1" ht="30">
      <c r="A39" s="29" t="s">
        <v>42</v>
      </c>
      <c r="B39" s="47">
        <v>6322.26</v>
      </c>
      <c r="C39" s="47">
        <v>5453.055</v>
      </c>
      <c r="D39" s="47">
        <f>3867.135+20.335</f>
        <v>3887.4700000000003</v>
      </c>
      <c r="E39" s="13">
        <f t="shared" si="0"/>
        <v>71.28976326114444</v>
      </c>
    </row>
    <row r="40" spans="1:5" s="28" customFormat="1" ht="15">
      <c r="A40" s="29" t="s">
        <v>43</v>
      </c>
      <c r="B40" s="47">
        <f>SUM(B36)-B37-B38-B39</f>
        <v>45085.598</v>
      </c>
      <c r="C40" s="47">
        <f>SUM(C36)-C37-C38-C39</f>
        <v>41716.538</v>
      </c>
      <c r="D40" s="47">
        <f>SUM(D36)-D37-D38-D39</f>
        <v>33060.63399999999</v>
      </c>
      <c r="E40" s="13">
        <f t="shared" si="0"/>
        <v>79.25066552742221</v>
      </c>
    </row>
    <row r="41" spans="1:5" s="28" customFormat="1" ht="15">
      <c r="A41" s="60" t="s">
        <v>44</v>
      </c>
      <c r="B41" s="48">
        <v>24226.586</v>
      </c>
      <c r="C41" s="48">
        <v>24226.586</v>
      </c>
      <c r="D41" s="48">
        <f>11489.725+30.003</f>
        <v>11519.728000000001</v>
      </c>
      <c r="E41" s="13">
        <f t="shared" si="0"/>
        <v>47.54994368583341</v>
      </c>
    </row>
    <row r="42" spans="1:5" s="27" customFormat="1" ht="14.25">
      <c r="A42" s="59" t="s">
        <v>52</v>
      </c>
      <c r="B42" s="50">
        <f>B43+B48</f>
        <v>113806.10999999999</v>
      </c>
      <c r="C42" s="50">
        <f>C43+C48</f>
        <v>108020.68299999999</v>
      </c>
      <c r="D42" s="50">
        <f>D43+D48</f>
        <v>84745.06700000001</v>
      </c>
      <c r="E42" s="12">
        <f t="shared" si="0"/>
        <v>78.4526302245284</v>
      </c>
    </row>
    <row r="43" spans="1:5" s="28" customFormat="1" ht="15">
      <c r="A43" s="60" t="s">
        <v>46</v>
      </c>
      <c r="B43" s="48">
        <v>77212.817</v>
      </c>
      <c r="C43" s="48">
        <v>71427.39</v>
      </c>
      <c r="D43" s="48">
        <f>65164.962+202.044</f>
        <v>65367.006</v>
      </c>
      <c r="E43" s="13">
        <f t="shared" si="0"/>
        <v>91.51532206342694</v>
      </c>
    </row>
    <row r="44" spans="1:5" s="28" customFormat="1" ht="15">
      <c r="A44" s="29" t="s">
        <v>38</v>
      </c>
      <c r="B44" s="47">
        <v>38000.765</v>
      </c>
      <c r="C44" s="47">
        <v>34682.372</v>
      </c>
      <c r="D44" s="47">
        <f>32045.205+99.216</f>
        <v>32144.421000000002</v>
      </c>
      <c r="E44" s="13">
        <f t="shared" si="0"/>
        <v>92.68230269832756</v>
      </c>
    </row>
    <row r="45" spans="1:5" s="28" customFormat="1" ht="15">
      <c r="A45" s="29" t="s">
        <v>39</v>
      </c>
      <c r="B45" s="47">
        <v>8368.851</v>
      </c>
      <c r="C45" s="47">
        <v>7635.127</v>
      </c>
      <c r="D45" s="47">
        <f>7013.725+21.827</f>
        <v>7035.552000000001</v>
      </c>
      <c r="E45" s="13">
        <f t="shared" si="0"/>
        <v>92.14715092492895</v>
      </c>
    </row>
    <row r="46" spans="1:5" s="28" customFormat="1" ht="30">
      <c r="A46" s="29" t="s">
        <v>42</v>
      </c>
      <c r="B46" s="47">
        <v>5627.013</v>
      </c>
      <c r="C46" s="47">
        <v>4788.824</v>
      </c>
      <c r="D46" s="47">
        <f>3598.369+3.998</f>
        <v>3602.367</v>
      </c>
      <c r="E46" s="13">
        <f t="shared" si="0"/>
        <v>75.22446011797469</v>
      </c>
    </row>
    <row r="47" spans="1:5" s="28" customFormat="1" ht="15">
      <c r="A47" s="29" t="s">
        <v>43</v>
      </c>
      <c r="B47" s="47">
        <f>SUM(B43)-B44-B45-B46</f>
        <v>25216.187999999995</v>
      </c>
      <c r="C47" s="47">
        <f>SUM(C43)-C44-C45-C46</f>
        <v>24321.066999999995</v>
      </c>
      <c r="D47" s="47">
        <f>SUM(D43)-D44-D45-D46</f>
        <v>22584.665999999997</v>
      </c>
      <c r="E47" s="13">
        <f t="shared" si="0"/>
        <v>92.86050649011412</v>
      </c>
    </row>
    <row r="48" spans="1:5" s="28" customFormat="1" ht="15">
      <c r="A48" s="60" t="s">
        <v>44</v>
      </c>
      <c r="B48" s="48">
        <v>36593.293</v>
      </c>
      <c r="C48" s="48">
        <v>36593.293</v>
      </c>
      <c r="D48" s="48">
        <v>19378.061</v>
      </c>
      <c r="E48" s="13">
        <f t="shared" si="0"/>
        <v>52.955225975426714</v>
      </c>
    </row>
    <row r="49" spans="1:5" s="28" customFormat="1" ht="14.25">
      <c r="A49" s="59" t="s">
        <v>53</v>
      </c>
      <c r="B49" s="11">
        <f>B50+B55</f>
        <v>163848.806</v>
      </c>
      <c r="C49" s="11">
        <f>C50+C55</f>
        <v>149491.29200000002</v>
      </c>
      <c r="D49" s="11">
        <f>D50+D55</f>
        <v>120434.52</v>
      </c>
      <c r="E49" s="12">
        <f t="shared" si="0"/>
        <v>80.56289994470045</v>
      </c>
    </row>
    <row r="50" spans="1:5" s="28" customFormat="1" ht="15">
      <c r="A50" s="60" t="s">
        <v>46</v>
      </c>
      <c r="B50" s="18">
        <f>146383.581+90.5</f>
        <v>146474.081</v>
      </c>
      <c r="C50" s="18">
        <v>132284.567</v>
      </c>
      <c r="D50" s="18">
        <v>114920.814</v>
      </c>
      <c r="E50" s="13">
        <f t="shared" si="0"/>
        <v>86.87393896825469</v>
      </c>
    </row>
    <row r="51" spans="1:5" s="28" customFormat="1" ht="15">
      <c r="A51" s="29" t="s">
        <v>38</v>
      </c>
      <c r="B51" s="5">
        <f>96802.106+74.2</f>
        <v>96876.306</v>
      </c>
      <c r="C51" s="5">
        <v>86969.969</v>
      </c>
      <c r="D51" s="5">
        <v>78704.57</v>
      </c>
      <c r="E51" s="13">
        <f t="shared" si="0"/>
        <v>90.49626084148657</v>
      </c>
    </row>
    <row r="52" spans="1:5" s="28" customFormat="1" ht="15">
      <c r="A52" s="29" t="s">
        <v>39</v>
      </c>
      <c r="B52" s="5">
        <v>21287.262</v>
      </c>
      <c r="C52" s="5">
        <v>19152.735</v>
      </c>
      <c r="D52" s="5">
        <v>17150.823</v>
      </c>
      <c r="E52" s="13">
        <f t="shared" si="0"/>
        <v>89.54764423984355</v>
      </c>
    </row>
    <row r="53" spans="1:5" s="28" customFormat="1" ht="30">
      <c r="A53" s="29" t="s">
        <v>42</v>
      </c>
      <c r="B53" s="5">
        <f>5245.45-5.681</f>
        <v>5239.769</v>
      </c>
      <c r="C53" s="5">
        <v>4445.475</v>
      </c>
      <c r="D53" s="5">
        <v>3120.316</v>
      </c>
      <c r="E53" s="13">
        <f t="shared" si="0"/>
        <v>70.19083450025025</v>
      </c>
    </row>
    <row r="54" spans="1:5" s="28" customFormat="1" ht="15">
      <c r="A54" s="29" t="s">
        <v>43</v>
      </c>
      <c r="B54" s="5">
        <f>SUM(B50)-B51-B52-B53+5.681</f>
        <v>23076.42500000001</v>
      </c>
      <c r="C54" s="5">
        <f>SUM(C50)-C51-C52-C53</f>
        <v>21716.388000000014</v>
      </c>
      <c r="D54" s="5">
        <f>SUM(D50)-D51-D52-D53</f>
        <v>15945.104999999992</v>
      </c>
      <c r="E54" s="13">
        <f t="shared" si="0"/>
        <v>73.4242959740818</v>
      </c>
    </row>
    <row r="55" spans="1:5" s="28" customFormat="1" ht="15">
      <c r="A55" s="60" t="s">
        <v>44</v>
      </c>
      <c r="B55" s="18">
        <v>17374.725</v>
      </c>
      <c r="C55" s="18">
        <v>17206.725</v>
      </c>
      <c r="D55" s="18">
        <v>5513.706</v>
      </c>
      <c r="E55" s="13">
        <f t="shared" si="0"/>
        <v>32.04390143969872</v>
      </c>
    </row>
    <row r="56" spans="1:5" s="28" customFormat="1" ht="28.5">
      <c r="A56" s="14" t="s">
        <v>54</v>
      </c>
      <c r="B56" s="15">
        <f>B57+B60</f>
        <v>554612.051</v>
      </c>
      <c r="C56" s="15">
        <f>C57+C60</f>
        <v>545326.498</v>
      </c>
      <c r="D56" s="49">
        <f>D57+D60</f>
        <v>295569.193</v>
      </c>
      <c r="E56" s="12">
        <f t="shared" si="0"/>
        <v>54.20040912811099</v>
      </c>
    </row>
    <row r="57" spans="1:5" s="28" customFormat="1" ht="15">
      <c r="A57" s="60" t="s">
        <v>46</v>
      </c>
      <c r="B57" s="18">
        <v>345485.049</v>
      </c>
      <c r="C57" s="18">
        <v>336444.496</v>
      </c>
      <c r="D57" s="18">
        <f>177136.928+787.233</f>
        <v>177924.16100000002</v>
      </c>
      <c r="E57" s="13">
        <f t="shared" si="0"/>
        <v>52.88365930052249</v>
      </c>
    </row>
    <row r="58" spans="1:5" s="28" customFormat="1" ht="30">
      <c r="A58" s="29" t="s">
        <v>42</v>
      </c>
      <c r="B58" s="5">
        <v>26959.025</v>
      </c>
      <c r="C58" s="5">
        <v>26750.177</v>
      </c>
      <c r="D58" s="5">
        <f>21851.309+5.099</f>
        <v>21856.408</v>
      </c>
      <c r="E58" s="13">
        <f t="shared" si="0"/>
        <v>81.70565749901392</v>
      </c>
    </row>
    <row r="59" spans="1:5" s="28" customFormat="1" ht="15">
      <c r="A59" s="29" t="s">
        <v>43</v>
      </c>
      <c r="B59" s="5">
        <f>SUM(B57)-B58</f>
        <v>318526.024</v>
      </c>
      <c r="C59" s="5">
        <f>SUM(C57)-C58</f>
        <v>309694.31899999996</v>
      </c>
      <c r="D59" s="5">
        <f>SUM(D57)-D58</f>
        <v>156067.75300000003</v>
      </c>
      <c r="E59" s="13">
        <f t="shared" si="0"/>
        <v>50.394128476086145</v>
      </c>
    </row>
    <row r="60" spans="1:5" s="28" customFormat="1" ht="15">
      <c r="A60" s="60" t="s">
        <v>44</v>
      </c>
      <c r="B60" s="18">
        <v>209127.002</v>
      </c>
      <c r="C60" s="18">
        <v>208882.002</v>
      </c>
      <c r="D60" s="18">
        <f>117166.588+478.444</f>
        <v>117645.032</v>
      </c>
      <c r="E60" s="13">
        <f t="shared" si="0"/>
        <v>56.321287077667904</v>
      </c>
    </row>
    <row r="61" spans="1:5" s="28" customFormat="1" ht="15">
      <c r="A61" s="14" t="s">
        <v>55</v>
      </c>
      <c r="B61" s="15">
        <f>SUM(B62)</f>
        <v>184133.332</v>
      </c>
      <c r="C61" s="15">
        <f>SUM(C62)</f>
        <v>178347.476</v>
      </c>
      <c r="D61" s="15">
        <f>SUM(D62)</f>
        <v>71939.863</v>
      </c>
      <c r="E61" s="12">
        <f t="shared" si="0"/>
        <v>40.3369111879105</v>
      </c>
    </row>
    <row r="62" spans="1:5" s="28" customFormat="1" ht="15">
      <c r="A62" s="60" t="s">
        <v>44</v>
      </c>
      <c r="B62" s="18">
        <v>184133.332</v>
      </c>
      <c r="C62" s="18">
        <v>178347.476</v>
      </c>
      <c r="D62" s="18">
        <f>70673.447+1266.416</f>
        <v>71939.863</v>
      </c>
      <c r="E62" s="13">
        <f t="shared" si="0"/>
        <v>40.3369111879105</v>
      </c>
    </row>
    <row r="63" spans="1:5" s="28" customFormat="1" ht="15">
      <c r="A63" s="62" t="s">
        <v>56</v>
      </c>
      <c r="B63" s="15">
        <f>SUM(B64:B65)</f>
        <v>181591.049</v>
      </c>
      <c r="C63" s="15">
        <f>SUM(C64:C65)</f>
        <v>181091.049</v>
      </c>
      <c r="D63" s="15">
        <f>SUM(D64:D65)</f>
        <v>117544.266</v>
      </c>
      <c r="E63" s="12">
        <f t="shared" si="0"/>
        <v>64.90893208090037</v>
      </c>
    </row>
    <row r="64" spans="1:5" s="28" customFormat="1" ht="15">
      <c r="A64" s="60" t="s">
        <v>43</v>
      </c>
      <c r="B64" s="18">
        <v>97630.315</v>
      </c>
      <c r="C64" s="18">
        <v>97130.315</v>
      </c>
      <c r="D64" s="18">
        <v>63649.414</v>
      </c>
      <c r="E64" s="13">
        <f t="shared" si="0"/>
        <v>65.52991617498614</v>
      </c>
    </row>
    <row r="65" spans="1:5" s="28" customFormat="1" ht="15">
      <c r="A65" s="60" t="s">
        <v>44</v>
      </c>
      <c r="B65" s="18">
        <v>83960.734</v>
      </c>
      <c r="C65" s="18">
        <v>83960.734</v>
      </c>
      <c r="D65" s="18">
        <v>53894.852</v>
      </c>
      <c r="E65" s="13">
        <f t="shared" si="0"/>
        <v>64.19054411792064</v>
      </c>
    </row>
    <row r="66" spans="1:5" s="28" customFormat="1" ht="57">
      <c r="A66" s="63" t="s">
        <v>57</v>
      </c>
      <c r="B66" s="15">
        <f>SUM(B67:B67)</f>
        <v>15068.326</v>
      </c>
      <c r="C66" s="15">
        <f>SUM(C67:C67)</f>
        <v>15068.326</v>
      </c>
      <c r="D66" s="15">
        <f>SUM(D67:D67)</f>
        <v>15068.326</v>
      </c>
      <c r="E66" s="12">
        <f t="shared" si="0"/>
        <v>100</v>
      </c>
    </row>
    <row r="67" spans="1:5" s="28" customFormat="1" ht="15">
      <c r="A67" s="60" t="s">
        <v>44</v>
      </c>
      <c r="B67" s="18">
        <v>15068.326</v>
      </c>
      <c r="C67" s="18">
        <v>15068.326</v>
      </c>
      <c r="D67" s="18">
        <v>15068.326</v>
      </c>
      <c r="E67" s="13">
        <f t="shared" si="0"/>
        <v>100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8158.621</v>
      </c>
      <c r="D68" s="11">
        <f>SUM(D69)+D72</f>
        <v>7291.732</v>
      </c>
      <c r="E68" s="12">
        <f t="shared" si="0"/>
        <v>89.37456464762856</v>
      </c>
    </row>
    <row r="69" spans="1:5" s="28" customFormat="1" ht="15">
      <c r="A69" s="60" t="s">
        <v>46</v>
      </c>
      <c r="B69" s="18">
        <v>8564</v>
      </c>
      <c r="C69" s="18">
        <v>7988.621</v>
      </c>
      <c r="D69" s="18">
        <v>7129.431</v>
      </c>
      <c r="E69" s="13">
        <f t="shared" si="0"/>
        <v>89.24482711096195</v>
      </c>
    </row>
    <row r="70" spans="1:5" s="28" customFormat="1" ht="30">
      <c r="A70" s="29" t="s">
        <v>42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</row>
    <row r="71" spans="1:5" s="28" customFormat="1" ht="15">
      <c r="A71" s="29" t="s">
        <v>43</v>
      </c>
      <c r="B71" s="5">
        <f>SUM(B69)-B70</f>
        <v>8545</v>
      </c>
      <c r="C71" s="5">
        <f>SUM(C69)-C70</f>
        <v>7969.7210000000005</v>
      </c>
      <c r="D71" s="5">
        <f>SUM(D69)-D70</f>
        <v>7122.485</v>
      </c>
      <c r="E71" s="12">
        <f t="shared" si="1"/>
        <v>89.36931418301845</v>
      </c>
    </row>
    <row r="72" spans="1:5" s="28" customFormat="1" ht="15">
      <c r="A72" s="60" t="s">
        <v>44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62" t="s">
        <v>59</v>
      </c>
      <c r="B73" s="11">
        <v>2589.8</v>
      </c>
      <c r="C73" s="11">
        <v>2389.8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</v>
      </c>
      <c r="C74" s="11">
        <v>49350.4</v>
      </c>
      <c r="D74" s="11">
        <v>46359.467</v>
      </c>
      <c r="E74" s="12">
        <f t="shared" si="1"/>
        <v>93.93939461483593</v>
      </c>
    </row>
    <row r="75" spans="1:5" s="27" customFormat="1" ht="15">
      <c r="A75" s="59" t="s">
        <v>61</v>
      </c>
      <c r="B75" s="11">
        <f>SUM(B76)+B80</f>
        <v>140190.992</v>
      </c>
      <c r="C75" s="11">
        <f>SUM(C76)+C80</f>
        <v>139134.186</v>
      </c>
      <c r="D75" s="11">
        <f>SUM(D76)+D80</f>
        <v>98938.272</v>
      </c>
      <c r="E75" s="13">
        <f t="shared" si="1"/>
        <v>71.10996574199243</v>
      </c>
    </row>
    <row r="76" spans="1:5" s="27" customFormat="1" ht="15">
      <c r="A76" s="60" t="s">
        <v>46</v>
      </c>
      <c r="B76" s="18">
        <v>63496.05</v>
      </c>
      <c r="C76" s="18">
        <v>63123.046</v>
      </c>
      <c r="D76" s="18">
        <v>49593.892</v>
      </c>
      <c r="E76" s="12">
        <f t="shared" si="1"/>
        <v>78.56701338525394</v>
      </c>
    </row>
    <row r="77" spans="1:5" s="28" customFormat="1" ht="15">
      <c r="A77" s="29" t="s">
        <v>38</v>
      </c>
      <c r="B77" s="5"/>
      <c r="C77" s="5"/>
      <c r="D77" s="5"/>
      <c r="E77" s="12"/>
    </row>
    <row r="78" spans="1:5" s="28" customFormat="1" ht="15">
      <c r="A78" s="29" t="s">
        <v>39</v>
      </c>
      <c r="B78" s="5"/>
      <c r="C78" s="5"/>
      <c r="D78" s="5"/>
      <c r="E78" s="12"/>
    </row>
    <row r="79" spans="1:5" s="28" customFormat="1" ht="15">
      <c r="A79" s="29" t="s">
        <v>43</v>
      </c>
      <c r="B79" s="5">
        <f>SUM(B76)-B77-B78</f>
        <v>63496.05</v>
      </c>
      <c r="C79" s="5">
        <f>SUM(C76)-C77-C78</f>
        <v>63123.046</v>
      </c>
      <c r="D79" s="5">
        <f>SUM(D76)-D77-D78</f>
        <v>49593.892</v>
      </c>
      <c r="E79" s="13">
        <f aca="true" t="shared" si="2" ref="E79:E90">SUM(D79)/C79*100</f>
        <v>78.56701338525394</v>
      </c>
    </row>
    <row r="80" spans="1:5" s="28" customFormat="1" ht="15">
      <c r="A80" s="60" t="s">
        <v>44</v>
      </c>
      <c r="B80" s="18">
        <f>76386.942+308</f>
        <v>76694.942</v>
      </c>
      <c r="C80" s="18">
        <v>76011.14</v>
      </c>
      <c r="D80" s="18">
        <v>49344.38</v>
      </c>
      <c r="E80" s="13">
        <f t="shared" si="2"/>
        <v>64.91730027993265</v>
      </c>
    </row>
    <row r="81" spans="1:5" s="28" customFormat="1" ht="40.5">
      <c r="A81" s="64" t="s">
        <v>62</v>
      </c>
      <c r="B81" s="50">
        <v>25360.833</v>
      </c>
      <c r="C81" s="50">
        <v>25162.718</v>
      </c>
      <c r="D81" s="50">
        <f>18000+3500</f>
        <v>21500</v>
      </c>
      <c r="E81" s="13">
        <f t="shared" si="2"/>
        <v>85.44386977591212</v>
      </c>
    </row>
    <row r="82" spans="1:10" s="32" customFormat="1" ht="15.75">
      <c r="A82" s="65" t="s">
        <v>63</v>
      </c>
      <c r="B82" s="51">
        <f>B5+B14+B23+B35+B42+B49+B56+B61+B63+B66+B68+B73+B74+B75+B81</f>
        <v>4320459.213999999</v>
      </c>
      <c r="C82" s="51">
        <f>C5+C14+C23+C35+C42+C49+C56+C61+C63+C66+C68+C73+C74+C75+C81</f>
        <v>4071529.752999999</v>
      </c>
      <c r="D82" s="21">
        <f>D5+D14+D23+D35+D42+D49+D56+D61+D63+D66+D68+D73+D74+D75+D81</f>
        <v>3317477.2429999993</v>
      </c>
      <c r="E82" s="52">
        <f t="shared" si="2"/>
        <v>81.47987229015344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3505378.7569999993</v>
      </c>
      <c r="C83" s="21">
        <f>C6+C15+C24+C36+C43+C50+C57+C64+C69+C76+C74</f>
        <v>3264297.8809999996</v>
      </c>
      <c r="D83" s="21">
        <f>D6+D15+D24+D36+D43+D50+D57+D64+D69+D76+D74</f>
        <v>2847597.372999999</v>
      </c>
      <c r="E83" s="52">
        <f t="shared" si="2"/>
        <v>87.2346053212415</v>
      </c>
      <c r="F83" s="30"/>
      <c r="G83" s="30"/>
      <c r="H83" s="31"/>
      <c r="I83" s="31"/>
      <c r="J83" s="31"/>
    </row>
    <row r="84" spans="1:5" s="33" customFormat="1" ht="15">
      <c r="A84" s="66" t="s">
        <v>38</v>
      </c>
      <c r="B84" s="15">
        <f aca="true" t="shared" si="3" ref="B84:D85">B7+B16+B25+B37+B44+B51+B77</f>
        <v>877865.9789999999</v>
      </c>
      <c r="C84" s="15">
        <f t="shared" si="3"/>
        <v>802698.2540000001</v>
      </c>
      <c r="D84" s="15">
        <f t="shared" si="3"/>
        <v>732397.3570000001</v>
      </c>
      <c r="E84" s="12">
        <f t="shared" si="2"/>
        <v>91.24192725601718</v>
      </c>
    </row>
    <row r="85" spans="1:5" ht="15">
      <c r="A85" s="66" t="s">
        <v>39</v>
      </c>
      <c r="B85" s="15">
        <f t="shared" si="3"/>
        <v>194053.55</v>
      </c>
      <c r="C85" s="15">
        <f t="shared" si="3"/>
        <v>177542.00799999997</v>
      </c>
      <c r="D85" s="15">
        <f t="shared" si="3"/>
        <v>162390.91</v>
      </c>
      <c r="E85" s="12">
        <f t="shared" si="2"/>
        <v>91.46618979323475</v>
      </c>
    </row>
    <row r="86" spans="1:5" ht="15">
      <c r="A86" s="66" t="s">
        <v>64</v>
      </c>
      <c r="B86" s="15">
        <f>B70+B11+B20+B29+B39+B46+B53+B58</f>
        <v>133538.032</v>
      </c>
      <c r="C86" s="15">
        <f>C70+C11+C20+C29+C39+C46+C53+C58</f>
        <v>115231.13799999998</v>
      </c>
      <c r="D86" s="15">
        <f>D70+D11+D20+D29+D39+D46+D53+D58</f>
        <v>91450.917</v>
      </c>
      <c r="E86" s="12">
        <f t="shared" si="2"/>
        <v>79.36302512260185</v>
      </c>
    </row>
    <row r="87" spans="1:5" ht="15">
      <c r="A87" s="66" t="s">
        <v>43</v>
      </c>
      <c r="B87" s="15">
        <f>B83-B84-B85-B86</f>
        <v>2299921.1959999995</v>
      </c>
      <c r="C87" s="15">
        <f>C83-C84-C85-C86</f>
        <v>2168826.4809999997</v>
      </c>
      <c r="D87" s="15">
        <f>D83-D84-D85-D86</f>
        <v>1861358.188999999</v>
      </c>
      <c r="E87" s="12">
        <f t="shared" si="2"/>
        <v>85.82328763072675</v>
      </c>
    </row>
    <row r="88" spans="1:5" ht="15">
      <c r="A88" s="59" t="s">
        <v>44</v>
      </c>
      <c r="B88" s="11">
        <f>B13+B22+B41+B34+B55+B60+B62+B65+B67+B72+B80+B48</f>
        <v>787129.824</v>
      </c>
      <c r="C88" s="11">
        <f>C13+C22+C41+C34+C55+C60+C62+C65+C67+C72+C80+C48</f>
        <v>779679.3539999999</v>
      </c>
      <c r="D88" s="11">
        <f>D13+D22+D41+D34+D55+D60+D62+D65+D67+D72+D80+D48</f>
        <v>448379.87</v>
      </c>
      <c r="E88" s="12">
        <f t="shared" si="2"/>
        <v>57.508239470452885</v>
      </c>
    </row>
    <row r="89" spans="1:5" ht="15">
      <c r="A89" s="59" t="s">
        <v>65</v>
      </c>
      <c r="B89" s="11">
        <f>SUM(B81)</f>
        <v>25360.833</v>
      </c>
      <c r="C89" s="11">
        <f>SUM(C81)</f>
        <v>25162.718</v>
      </c>
      <c r="D89" s="11">
        <f>SUM(D81)</f>
        <v>21500</v>
      </c>
      <c r="E89" s="12">
        <f t="shared" si="2"/>
        <v>85.44386977591212</v>
      </c>
    </row>
    <row r="90" spans="1:5" ht="28.5">
      <c r="A90" s="59" t="s">
        <v>66</v>
      </c>
      <c r="B90" s="11">
        <f>SUM(B73)</f>
        <v>2589.8</v>
      </c>
      <c r="C90" s="11">
        <f>SUM(C73)</f>
        <v>2389.8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2017-11-20T10:52:00Z</cp:lastPrinted>
  <dcterms:created xsi:type="dcterms:W3CDTF">2015-04-07T07:35:57Z</dcterms:created>
  <dcterms:modified xsi:type="dcterms:W3CDTF">2017-12-04T09:38:34Z</dcterms:modified>
  <cp:category/>
  <cp:version/>
  <cp:contentType/>
  <cp:contentStatus/>
</cp:coreProperties>
</file>